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15" windowWidth="11580" windowHeight="351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<sst xmlns="http://schemas.openxmlformats.org/spreadsheetml/2006/main" count="167" uniqueCount="120">
  <si>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</si>
  <si>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</si>
  <si>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</si>
  <si>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</si>
  <si>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</si>
  <si>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</si>
  <si>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</si>
  <si>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</si>
  <si>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</si>
  <si>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</si>
  <si>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</si>
  <si>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</si>
  <si>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</si>
  <si>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</si>
  <si>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</si>
  <si>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</si>
  <si>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</si>
  <si>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</si>
  <si>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</si>
  <si>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</si>
  <si>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</si>
  <si>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</si>
  <si>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</si>
  <si>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</si>
  <si>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</si>
  <si>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</si>
  <si>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</si>
  <si>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</si>
  <si>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</si>
  <si>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</si>
  <si>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</si>
  <si>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</si>
  <si>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</si>
  <si>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</si>
  <si>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</si>
  <si>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</si>
  <si>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</si>
  <si>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</si>
  <si>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</si>
  <si>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</si>
  <si>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</si>
  <si>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</si>
  <si>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</si>
  <si>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</si>
  <si>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</si>
  <si>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</si>
  <si>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</si>
  <si>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</si>
  <si>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</si>
  <si>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</si>
  <si>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</si>
  <si>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</si>
  <si>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</si>
  <si>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</si>
  <si>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</si>
  <si>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</si>
  <si>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</si>
  <si>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</si>
  <si>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</si>
  <si>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</si>
  <si>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</si>
  <si>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</si>
  <si>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</si>
  <si>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</si>
  <si>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</si>
  <si>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</si>
  <si>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</si>
  <si>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</si>
  <si>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</si>
  <si>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</si>
  <si>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</si>
  <si>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</si>
  <si>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</si>
  <si>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</si>
  <si>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</si>
  <si>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</si>
  <si>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</si>
  <si>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</si>
  <si>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</si>
  <si>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</si>
  <si>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</si>
  <si>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</si>
  <si>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</si>
  <si>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</si>
  <si>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</si>
  <si>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</si>
  <si>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</si>
  <si>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</si>
  <si>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</si>
  <si>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</si>
  <si>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</si>
  <si>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</si>
  <si>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</si>
  <si>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</si>
  <si>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</si>
  <si>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</si>
  <si>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</si>
  <si>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</si>
  <si>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</si>
  <si>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</si>
  <si>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</si>
  <si>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</si>
  <si>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</si>
  <si>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</si>
  <si>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</si>
  <si>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</si>
  <si>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</si>
  <si>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</si>
  <si>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</si>
  <si>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</si>
  <si>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</si>
  <si>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</si>
  <si>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</si>
  <si>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</si>
  <si>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</si>
  <si>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</si>
  <si>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</si>
  <si>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</si>
  <si>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</si>
  <si>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Аналіз використання коштів міського бюджету за 2015 рік станом на 31.08.2015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</si>
</sst>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32" borderId="14" xfId="0" applyNumberFormat="1" applyFont="1" applyFill="1" applyBorder="1" applyAlignment="1">
      <alignment/>
    </xf>
    <xf numFmtId="173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32" borderId="17" xfId="0" applyNumberFormat="1" applyFont="1" applyFill="1" applyBorder="1" applyAlignment="1">
      <alignment/>
    </xf>
    <xf numFmtId="173" fontId="4" fillId="32" borderId="23" xfId="0" applyNumberFormat="1" applyFont="1" applyFill="1" applyBorder="1" applyAlignment="1">
      <alignment/>
    </xf>
    <xf numFmtId="174" fontId="5" fillId="32" borderId="20" xfId="0" applyNumberFormat="1" applyFont="1" applyFill="1" applyBorder="1" applyAlignment="1">
      <alignment wrapText="1"/>
    </xf>
    <xf numFmtId="174" fontId="4" fillId="32" borderId="23" xfId="0" applyNumberFormat="1" applyFont="1" applyFill="1" applyBorder="1" applyAlignment="1">
      <alignment/>
    </xf>
    <xf numFmtId="174" fontId="4" fillId="32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31016.799999999996</c:v>
                </c:pt>
                <c:pt idx="1">
                  <c:v>26701.500000000004</c:v>
                </c:pt>
                <c:pt idx="2">
                  <c:v>1075.6</c:v>
                </c:pt>
                <c:pt idx="3">
                  <c:v>3239.699999999992</c:v>
                </c:pt>
              </c:numCache>
            </c:numRef>
          </c:val>
          <c:shape val="box"/>
        </c:ser>
        <c:shape val="box"/>
        <c:axId val="3435303"/>
        <c:axId val="30917728"/>
      </c:bar3DChart>
      <c:catAx>
        <c:axId val="3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17728"/>
        <c:crosses val="autoZero"/>
        <c:auto val="1"/>
        <c:lblOffset val="100"/>
        <c:tickLblSkip val="1"/>
        <c:noMultiLvlLbl val="0"/>
      </c:catAx>
      <c:valAx>
        <c:axId val="30917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223661.99999999997</c:v>
                </c:pt>
                <c:pt idx="1">
                  <c:v>112987.40000000002</c:v>
                </c:pt>
                <c:pt idx="2">
                  <c:v>173122.79999999996</c:v>
                </c:pt>
                <c:pt idx="3">
                  <c:v>9.700000000000001</c:v>
                </c:pt>
                <c:pt idx="4">
                  <c:v>10807.899999999998</c:v>
                </c:pt>
                <c:pt idx="5">
                  <c:v>37155.700000000004</c:v>
                </c:pt>
                <c:pt idx="6">
                  <c:v>195.49999999999997</c:v>
                </c:pt>
                <c:pt idx="7">
                  <c:v>2370.400000000016</c:v>
                </c:pt>
              </c:numCache>
            </c:numRef>
          </c:val>
          <c:shape val="box"/>
        </c:ser>
        <c:shape val="box"/>
        <c:axId val="9824097"/>
        <c:axId val="21308010"/>
      </c:bar3DChart>
      <c:catAx>
        <c:axId val="9824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08010"/>
        <c:crosses val="autoZero"/>
        <c:auto val="1"/>
        <c:lblOffset val="100"/>
        <c:tickLblSkip val="1"/>
        <c:noMultiLvlLbl val="0"/>
      </c:catAx>
      <c:valAx>
        <c:axId val="21308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40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150095.59999999995</c:v>
                </c:pt>
                <c:pt idx="1">
                  <c:v>132295.90000000002</c:v>
                </c:pt>
                <c:pt idx="2">
                  <c:v>119857.99999999996</c:v>
                </c:pt>
                <c:pt idx="3">
                  <c:v>6083.7</c:v>
                </c:pt>
                <c:pt idx="4">
                  <c:v>2156.7999999999997</c:v>
                </c:pt>
                <c:pt idx="5">
                  <c:v>14005.3</c:v>
                </c:pt>
                <c:pt idx="6">
                  <c:v>880.0999999999999</c:v>
                </c:pt>
                <c:pt idx="7">
                  <c:v>7111.699999999992</c:v>
                </c:pt>
              </c:numCache>
            </c:numRef>
          </c:val>
          <c:shape val="box"/>
        </c:ser>
        <c:shape val="box"/>
        <c:axId val="57554363"/>
        <c:axId val="48227220"/>
      </c:bar3DChart>
      <c:catAx>
        <c:axId val="5755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27220"/>
        <c:crosses val="autoZero"/>
        <c:auto val="1"/>
        <c:lblOffset val="100"/>
        <c:tickLblSkip val="1"/>
        <c:noMultiLvlLbl val="0"/>
      </c:catAx>
      <c:valAx>
        <c:axId val="48227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43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28292.499999999993</c:v>
                </c:pt>
                <c:pt idx="1">
                  <c:v>20457.2</c:v>
                </c:pt>
                <c:pt idx="2">
                  <c:v>1268.2</c:v>
                </c:pt>
                <c:pt idx="3">
                  <c:v>377.1</c:v>
                </c:pt>
                <c:pt idx="4">
                  <c:v>17</c:v>
                </c:pt>
                <c:pt idx="5">
                  <c:v>6172.999999999992</c:v>
                </c:pt>
              </c:numCache>
            </c:numRef>
          </c:val>
          <c:shape val="box"/>
        </c:ser>
        <c:shape val="box"/>
        <c:axId val="31391797"/>
        <c:axId val="14090718"/>
      </c:bar3DChart>
      <c:catAx>
        <c:axId val="3139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90718"/>
        <c:crosses val="autoZero"/>
        <c:auto val="1"/>
        <c:lblOffset val="100"/>
        <c:tickLblSkip val="1"/>
        <c:noMultiLvlLbl val="0"/>
      </c:catAx>
      <c:valAx>
        <c:axId val="14090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917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8856.100000000004</c:v>
                </c:pt>
                <c:pt idx="1">
                  <c:v>5786.8</c:v>
                </c:pt>
                <c:pt idx="3">
                  <c:v>127.20000000000002</c:v>
                </c:pt>
                <c:pt idx="4">
                  <c:v>415.7000000000001</c:v>
                </c:pt>
                <c:pt idx="5">
                  <c:v>2526.4000000000037</c:v>
                </c:pt>
              </c:numCache>
            </c:numRef>
          </c:val>
          <c:shape val="box"/>
        </c:ser>
        <c:shape val="box"/>
        <c:axId val="59707599"/>
        <c:axId val="497480"/>
      </c:bar3DChart>
      <c:catAx>
        <c:axId val="5970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480"/>
        <c:crosses val="autoZero"/>
        <c:auto val="1"/>
        <c:lblOffset val="100"/>
        <c:tickLblSkip val="2"/>
        <c:noMultiLvlLbl val="0"/>
      </c:catAx>
      <c:valAx>
        <c:axId val="497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075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2610.8999999999996</c:v>
                </c:pt>
                <c:pt idx="1">
                  <c:v>972.7999999999998</c:v>
                </c:pt>
                <c:pt idx="2">
                  <c:v>295.6</c:v>
                </c:pt>
                <c:pt idx="3">
                  <c:v>241.90000000000003</c:v>
                </c:pt>
                <c:pt idx="4">
                  <c:v>973.3</c:v>
                </c:pt>
                <c:pt idx="5">
                  <c:v>127.29999999999984</c:v>
                </c:pt>
              </c:numCache>
            </c:numRef>
          </c:val>
          <c:shape val="box"/>
        </c:ser>
        <c:shape val="box"/>
        <c:axId val="4477321"/>
        <c:axId val="40295890"/>
      </c:bar3DChart>
      <c:catAx>
        <c:axId val="447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95890"/>
        <c:crosses val="autoZero"/>
        <c:auto val="1"/>
        <c:lblOffset val="100"/>
        <c:tickLblSkip val="1"/>
        <c:noMultiLvlLbl val="0"/>
      </c:catAx>
      <c:valAx>
        <c:axId val="40295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73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34889.30000000001</c:v>
                </c:pt>
              </c:numCache>
            </c:numRef>
          </c:val>
          <c:shape val="box"/>
        </c:ser>
        <c:shape val="box"/>
        <c:axId val="27118691"/>
        <c:axId val="42741628"/>
      </c:bar3DChart>
      <c:catAx>
        <c:axId val="2711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741628"/>
        <c:crosses val="autoZero"/>
        <c:auto val="1"/>
        <c:lblOffset val="100"/>
        <c:tickLblSkip val="1"/>
        <c:noMultiLvlLbl val="0"/>
      </c:catAx>
      <c:valAx>
        <c:axId val="42741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8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223661.99999999997</c:v>
                </c:pt>
                <c:pt idx="1">
                  <c:v>150095.59999999995</c:v>
                </c:pt>
                <c:pt idx="2">
                  <c:v>28292.499999999993</c:v>
                </c:pt>
                <c:pt idx="3">
                  <c:v>8856.100000000004</c:v>
                </c:pt>
                <c:pt idx="4">
                  <c:v>2610.8999999999996</c:v>
                </c:pt>
                <c:pt idx="5">
                  <c:v>31016.799999999996</c:v>
                </c:pt>
                <c:pt idx="6">
                  <c:v>34889.30000000001</c:v>
                </c:pt>
              </c:numCache>
            </c:numRef>
          </c:val>
          <c:shape val="box"/>
        </c:ser>
        <c:shape val="box"/>
        <c:axId val="49130333"/>
        <c:axId val="39519814"/>
      </c:bar3DChart>
      <c:catAx>
        <c:axId val="4913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19814"/>
        <c:crosses val="autoZero"/>
        <c:auto val="1"/>
        <c:lblOffset val="100"/>
        <c:tickLblSkip val="1"/>
        <c:noMultiLvlLbl val="0"/>
      </c:catAx>
      <c:valAx>
        <c:axId val="39519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303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14325.800000000003</c:v>
                </c:pt>
                <c:pt idx="4">
                  <c:v>13124.6</c:v>
                </c:pt>
                <c:pt idx="5">
                  <c:v>255909.5000000001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351547.1</c:v>
                </c:pt>
                <c:pt idx="1">
                  <c:v>57574.59999999999</c:v>
                </c:pt>
                <c:pt idx="2">
                  <c:v>13421.199999999999</c:v>
                </c:pt>
                <c:pt idx="3">
                  <c:v>5743.2</c:v>
                </c:pt>
                <c:pt idx="4">
                  <c:v>6164.099999999999</c:v>
                </c:pt>
                <c:pt idx="5">
                  <c:v>166156.69999999992</c:v>
                </c:pt>
              </c:numCache>
            </c:numRef>
          </c:val>
          <c:shape val="box"/>
        </c:ser>
        <c:shape val="box"/>
        <c:axId val="20134007"/>
        <c:axId val="46988336"/>
      </c:bar3DChart>
      <c:catAx>
        <c:axId val="2013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88336"/>
        <c:crosses val="autoZero"/>
        <c:auto val="1"/>
        <c:lblOffset val="100"/>
        <c:tickLblSkip val="1"/>
        <c:noMultiLvlLbl val="0"/>
      </c:catAx>
      <c:valAx>
        <c:axId val="46988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40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110</v>
      </c>
      <c r="C3" s="138" t="s">
        <v>102</v>
      </c>
      <c r="D3" s="138" t="s">
        <v>28</v>
      </c>
      <c r="E3" s="138" t="s">
        <v>27</v>
      </c>
      <c r="F3" s="138" t="s">
        <v>111</v>
      </c>
      <c r="G3" s="138" t="s">
        <v>103</v>
      </c>
      <c r="H3" s="138" t="s">
        <v>112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231487.4+3758.4</f>
        <v>235245.8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</f>
        <v>223661.99999999997</v>
      </c>
      <c r="E6" s="3">
        <f>D6/D145*100</f>
        <v>37.23933241526196</v>
      </c>
      <c r="F6" s="3">
        <f>D6/B6*100</f>
        <v>95.07587383069112</v>
      </c>
      <c r="G6" s="3">
        <f aca="true" t="shared" si="0" ref="G6:G43">D6/C6*100</f>
        <v>61.653396667670044</v>
      </c>
      <c r="H6" s="3">
        <f>B6-D6</f>
        <v>11583.800000000017</v>
      </c>
      <c r="I6" s="3">
        <f aca="true" t="shared" si="1" ref="I6:I43">C6-D6</f>
        <v>139111.19999999998</v>
      </c>
    </row>
    <row r="7" spans="1:9" s="44" customFormat="1" ht="18.75">
      <c r="A7" s="118" t="s">
        <v>105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</f>
        <v>112987.40000000002</v>
      </c>
      <c r="E7" s="107">
        <f>D7/D6*100</f>
        <v>50.51703016158312</v>
      </c>
      <c r="F7" s="107">
        <f>D7/B7*100</f>
        <v>94.93375321697471</v>
      </c>
      <c r="G7" s="107">
        <f>D7/C7*100</f>
        <v>64.95903100213643</v>
      </c>
      <c r="H7" s="107">
        <f>B7-D7</f>
        <v>6029.6999999999825</v>
      </c>
      <c r="I7" s="107">
        <f t="shared" si="1"/>
        <v>60948.99999999997</v>
      </c>
    </row>
    <row r="8" spans="1:9" ht="18">
      <c r="A8" s="29" t="s">
        <v>3</v>
      </c>
      <c r="B8" s="49">
        <f>171004.1+3751.1</f>
        <v>174755.2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</f>
        <v>173122.79999999996</v>
      </c>
      <c r="E8" s="1">
        <f>D8/D6*100</f>
        <v>77.4037610322719</v>
      </c>
      <c r="F8" s="1">
        <f>D8/B8*100</f>
        <v>99.06589331819595</v>
      </c>
      <c r="G8" s="1">
        <f t="shared" si="0"/>
        <v>62.903674129938004</v>
      </c>
      <c r="H8" s="1">
        <f>B8-D8</f>
        <v>1632.4000000000524</v>
      </c>
      <c r="I8" s="1">
        <f t="shared" si="1"/>
        <v>102096.10000000006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0.3+0.2+0.7+0.8+2+0.3+3.5+1.2+0.3+0.4</f>
        <v>9.700000000000001</v>
      </c>
      <c r="E9" s="12">
        <f>D9/D6*100</f>
        <v>0.004336901217014961</v>
      </c>
      <c r="F9" s="136">
        <f>D9/B9*100</f>
        <v>38.4920634920635</v>
      </c>
      <c r="G9" s="1">
        <f t="shared" si="0"/>
        <v>21.460176991150444</v>
      </c>
      <c r="H9" s="1">
        <f aca="true" t="shared" si="2" ref="H9:H43">B9-D9</f>
        <v>15.499999999999998</v>
      </c>
      <c r="I9" s="1">
        <f t="shared" si="1"/>
        <v>35.5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</f>
        <v>10807.899999999998</v>
      </c>
      <c r="E10" s="1">
        <f>D10/D6*100</f>
        <v>4.832246872512988</v>
      </c>
      <c r="F10" s="1">
        <f aca="true" t="shared" si="3" ref="F10:F41">D10/B10*100</f>
        <v>83.64665000116089</v>
      </c>
      <c r="G10" s="1">
        <f t="shared" si="0"/>
        <v>48.883290516336785</v>
      </c>
      <c r="H10" s="1">
        <f t="shared" si="2"/>
        <v>2113.000000000002</v>
      </c>
      <c r="I10" s="1">
        <f t="shared" si="1"/>
        <v>11301.7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</f>
        <v>37155.700000000004</v>
      </c>
      <c r="E11" s="1">
        <f>D11/D6*100</f>
        <v>16.61243304629307</v>
      </c>
      <c r="F11" s="1">
        <f t="shared" si="3"/>
        <v>84.23590596951651</v>
      </c>
      <c r="G11" s="1">
        <f t="shared" si="0"/>
        <v>60.50835506034438</v>
      </c>
      <c r="H11" s="1">
        <f t="shared" si="2"/>
        <v>6953.399999999994</v>
      </c>
      <c r="I11" s="1">
        <f t="shared" si="1"/>
        <v>24250.19999999999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3.8+3.8+12.7+7.4+5+16.3+3.8+110.9+3.8+1.2+5.4+9.9+1.2+1.2+9.1</f>
        <v>195.49999999999997</v>
      </c>
      <c r="E12" s="1">
        <f>D12/D6*100</f>
        <v>0.08740867916767266</v>
      </c>
      <c r="F12" s="1">
        <f t="shared" si="3"/>
        <v>79.0218270008084</v>
      </c>
      <c r="G12" s="1">
        <f t="shared" si="0"/>
        <v>66.02499155690646</v>
      </c>
      <c r="H12" s="1">
        <f t="shared" si="2"/>
        <v>51.900000000000034</v>
      </c>
      <c r="I12" s="1">
        <f t="shared" si="1"/>
        <v>100.6</v>
      </c>
    </row>
    <row r="13" spans="1:9" ht="18.75" thickBot="1">
      <c r="A13" s="29" t="s">
        <v>34</v>
      </c>
      <c r="B13" s="50">
        <f>B6-B8-B9-B10-B11-B12</f>
        <v>3187.9999999999795</v>
      </c>
      <c r="C13" s="50">
        <f>C6-C8-C9-C10-C11-C12</f>
        <v>3697.4999999999404</v>
      </c>
      <c r="D13" s="50">
        <f>D6-D8-D9-D10-D11-D12</f>
        <v>2370.400000000016</v>
      </c>
      <c r="E13" s="1">
        <f>D13/D6*100</f>
        <v>1.0598134685373537</v>
      </c>
      <c r="F13" s="1">
        <f t="shared" si="3"/>
        <v>74.35382685069106</v>
      </c>
      <c r="G13" s="1">
        <f t="shared" si="0"/>
        <v>64.10818120351736</v>
      </c>
      <c r="H13" s="1">
        <f t="shared" si="2"/>
        <v>817.5999999999635</v>
      </c>
      <c r="I13" s="1">
        <f t="shared" si="1"/>
        <v>1327.0999999999244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147912.5+5992.3</f>
        <v>153904.8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</f>
        <v>150095.59999999995</v>
      </c>
      <c r="E18" s="3">
        <f>D18/D145*100</f>
        <v>24.990655285512034</v>
      </c>
      <c r="F18" s="3">
        <f>D18/B18*100</f>
        <v>97.5249634839199</v>
      </c>
      <c r="G18" s="3">
        <f t="shared" si="0"/>
        <v>61.360484815185444</v>
      </c>
      <c r="H18" s="3">
        <f>B18-D18</f>
        <v>3809.2000000000407</v>
      </c>
      <c r="I18" s="3">
        <f t="shared" si="1"/>
        <v>94517.20000000007</v>
      </c>
    </row>
    <row r="19" spans="1:9" s="44" customFormat="1" ht="18.75">
      <c r="A19" s="118" t="s">
        <v>106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</f>
        <v>132295.90000000002</v>
      </c>
      <c r="E19" s="107">
        <f>D19/D18*100</f>
        <v>88.14109141107406</v>
      </c>
      <c r="F19" s="107">
        <f t="shared" si="3"/>
        <v>98.92184558142876</v>
      </c>
      <c r="G19" s="107">
        <f t="shared" si="0"/>
        <v>70.9288373529374</v>
      </c>
      <c r="H19" s="107">
        <f t="shared" si="2"/>
        <v>1441.899999999965</v>
      </c>
      <c r="I19" s="107">
        <f t="shared" si="1"/>
        <v>54223.29999999999</v>
      </c>
    </row>
    <row r="20" spans="1:9" ht="18">
      <c r="A20" s="29" t="s">
        <v>5</v>
      </c>
      <c r="B20" s="49">
        <f>113270.7+7175</f>
        <v>120445.7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</f>
        <v>119857.99999999996</v>
      </c>
      <c r="E20" s="1">
        <f>D20/D18*100</f>
        <v>79.85443943726531</v>
      </c>
      <c r="F20" s="1">
        <f t="shared" si="3"/>
        <v>99.51206228200753</v>
      </c>
      <c r="G20" s="1">
        <f t="shared" si="0"/>
        <v>62.79394221666416</v>
      </c>
      <c r="H20" s="1">
        <f t="shared" si="2"/>
        <v>587.7000000000407</v>
      </c>
      <c r="I20" s="1">
        <f t="shared" si="1"/>
        <v>71017.10000000005</v>
      </c>
    </row>
    <row r="21" spans="1:9" ht="18">
      <c r="A21" s="29" t="s">
        <v>2</v>
      </c>
      <c r="B21" s="49">
        <f>7853.6+143.1+81</f>
        <v>8077.700000000001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</f>
        <v>6083.7</v>
      </c>
      <c r="E21" s="1">
        <f>D21/D18*100</f>
        <v>4.053216749858092</v>
      </c>
      <c r="F21" s="1">
        <f t="shared" si="3"/>
        <v>75.31475543781025</v>
      </c>
      <c r="G21" s="1">
        <f t="shared" si="0"/>
        <v>46.807413847491404</v>
      </c>
      <c r="H21" s="1">
        <f t="shared" si="2"/>
        <v>1994.000000000001</v>
      </c>
      <c r="I21" s="1">
        <f t="shared" si="1"/>
        <v>6913.599999999999</v>
      </c>
    </row>
    <row r="22" spans="1:9" ht="18">
      <c r="A22" s="29" t="s">
        <v>1</v>
      </c>
      <c r="B22" s="49">
        <f>2134.6+39.9</f>
        <v>2174.5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</f>
        <v>2156.7999999999997</v>
      </c>
      <c r="E22" s="1">
        <f>D22/D18*100</f>
        <v>1.4369508499916055</v>
      </c>
      <c r="F22" s="1">
        <f t="shared" si="3"/>
        <v>99.18601977466082</v>
      </c>
      <c r="G22" s="1">
        <f t="shared" si="0"/>
        <v>66.29576122706175</v>
      </c>
      <c r="H22" s="1">
        <f t="shared" si="2"/>
        <v>17.700000000000273</v>
      </c>
      <c r="I22" s="1">
        <f t="shared" si="1"/>
        <v>1096.5000000000005</v>
      </c>
    </row>
    <row r="23" spans="1:9" ht="18">
      <c r="A23" s="29" t="s">
        <v>0</v>
      </c>
      <c r="B23" s="49">
        <f>14394.6+48.8-95</f>
        <v>14348.4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</f>
        <v>14005.3</v>
      </c>
      <c r="E23" s="1">
        <f>D23/D18*100</f>
        <v>9.33091976047266</v>
      </c>
      <c r="F23" s="1">
        <f t="shared" si="3"/>
        <v>97.60879261799225</v>
      </c>
      <c r="G23" s="1">
        <f t="shared" si="0"/>
        <v>54.65909534402685</v>
      </c>
      <c r="H23" s="1">
        <f t="shared" si="2"/>
        <v>343.10000000000036</v>
      </c>
      <c r="I23" s="1">
        <f t="shared" si="1"/>
        <v>11617.7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111+58.1+166.1+55.7+24.9+10.1-0.1+89.8+44.2+0.1+106.9+106.7+78.8+27.8</f>
        <v>880.0999999999999</v>
      </c>
      <c r="E24" s="1">
        <f>D24/D18*100</f>
        <v>0.5863596267978544</v>
      </c>
      <c r="F24" s="1">
        <f t="shared" si="3"/>
        <v>97.45321669804007</v>
      </c>
      <c r="G24" s="1">
        <f t="shared" si="0"/>
        <v>57.594398272364366</v>
      </c>
      <c r="H24" s="1">
        <f t="shared" si="2"/>
        <v>23.000000000000114</v>
      </c>
      <c r="I24" s="1">
        <f t="shared" si="1"/>
        <v>648</v>
      </c>
    </row>
    <row r="25" spans="1:9" ht="18.75" thickBot="1">
      <c r="A25" s="29" t="s">
        <v>34</v>
      </c>
      <c r="B25" s="50">
        <f>B18-B20-B21-B22-B23-B24</f>
        <v>7955.3999999999905</v>
      </c>
      <c r="C25" s="50">
        <f>C18-C20-C21-C22-C23-C24</f>
        <v>10336.000000000005</v>
      </c>
      <c r="D25" s="50">
        <f>D18-D20-D21-D22-D23-D24</f>
        <v>7111.699999999992</v>
      </c>
      <c r="E25" s="1">
        <f>D25/D18*100</f>
        <v>4.738113575614471</v>
      </c>
      <c r="F25" s="1">
        <f t="shared" si="3"/>
        <v>89.39462503456772</v>
      </c>
      <c r="G25" s="1">
        <f t="shared" si="0"/>
        <v>68.80514705882341</v>
      </c>
      <c r="H25" s="1">
        <f t="shared" si="2"/>
        <v>843.6999999999989</v>
      </c>
      <c r="I25" s="1">
        <f t="shared" si="1"/>
        <v>3224.300000000014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29620.7+459.6</f>
        <v>30080.3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</f>
        <v>28292.499999999993</v>
      </c>
      <c r="E33" s="3">
        <f>D33/D145*100</f>
        <v>4.710651842328152</v>
      </c>
      <c r="F33" s="3">
        <f>D33/B33*100</f>
        <v>94.05657523362464</v>
      </c>
      <c r="G33" s="3">
        <f t="shared" si="0"/>
        <v>63.15868193294475</v>
      </c>
      <c r="H33" s="3">
        <f t="shared" si="2"/>
        <v>1787.8000000000065</v>
      </c>
      <c r="I33" s="3">
        <f t="shared" si="1"/>
        <v>16503.4</v>
      </c>
    </row>
    <row r="34" spans="1:9" ht="18">
      <c r="A34" s="29" t="s">
        <v>3</v>
      </c>
      <c r="B34" s="49">
        <f>21012.9+459.6</f>
        <v>21472.5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</f>
        <v>20457.2</v>
      </c>
      <c r="E34" s="1">
        <f>D34/D33*100</f>
        <v>72.30608818591502</v>
      </c>
      <c r="F34" s="1">
        <f t="shared" si="3"/>
        <v>95.27162649901037</v>
      </c>
      <c r="G34" s="1">
        <f t="shared" si="0"/>
        <v>63.588946566783754</v>
      </c>
      <c r="H34" s="1">
        <f t="shared" si="2"/>
        <v>1015.2999999999993</v>
      </c>
      <c r="I34" s="1">
        <f t="shared" si="1"/>
        <v>11713.8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</f>
        <v>1268.2</v>
      </c>
      <c r="E36" s="1">
        <f>D36/D33*100</f>
        <v>4.482460015905277</v>
      </c>
      <c r="F36" s="1">
        <f t="shared" si="3"/>
        <v>77.43787018379435</v>
      </c>
      <c r="G36" s="1">
        <f t="shared" si="0"/>
        <v>47.42707554225879</v>
      </c>
      <c r="H36" s="1">
        <f t="shared" si="2"/>
        <v>369.5</v>
      </c>
      <c r="I36" s="1">
        <f t="shared" si="1"/>
        <v>1405.8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19+12.3+0.1+11.9+3.2+10.7+22.4+14.8+37.3+30.8+8.3+7.2+2+25.1+13.4+51+75.3+5+2.8+24.5</f>
        <v>377.1</v>
      </c>
      <c r="E37" s="19">
        <f>D37/D33*100</f>
        <v>1.3328620659185302</v>
      </c>
      <c r="F37" s="19">
        <f t="shared" si="3"/>
        <v>87.19075144508672</v>
      </c>
      <c r="G37" s="19">
        <f t="shared" si="0"/>
        <v>73.15227934044617</v>
      </c>
      <c r="H37" s="19">
        <f t="shared" si="2"/>
        <v>55.39999999999998</v>
      </c>
      <c r="I37" s="19">
        <f t="shared" si="1"/>
        <v>138.39999999999998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0.06008659538747019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6172.999999999992</v>
      </c>
      <c r="E39" s="1">
        <f>D39/D33*100</f>
        <v>21.81850313687371</v>
      </c>
      <c r="F39" s="1">
        <f t="shared" si="3"/>
        <v>94.9604651878287</v>
      </c>
      <c r="G39" s="1">
        <f t="shared" si="0"/>
        <v>65.75275345646658</v>
      </c>
      <c r="H39" s="1">
        <f>B39-D39</f>
        <v>327.60000000000764</v>
      </c>
      <c r="I39" s="1">
        <f t="shared" si="1"/>
        <v>3215.2000000000016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17.7+12.2+11.2+51.1+0.8+30+0.1+18.9+27.3+43.7+9+5.4+5.6+7.8+24.4+6.4-0.1+26.1+70.2+6+6+27.3+26.1+5.1+3+1+25.2+2+11+3.6+29+1</f>
        <v>514.1</v>
      </c>
      <c r="E43" s="3">
        <f>D43/D145*100</f>
        <v>0.08559675221846437</v>
      </c>
      <c r="F43" s="3">
        <f>D43/B43*100</f>
        <v>92.00071581961346</v>
      </c>
      <c r="G43" s="3">
        <f t="shared" si="0"/>
        <v>62.77933813652461</v>
      </c>
      <c r="H43" s="3">
        <f t="shared" si="2"/>
        <v>44.69999999999993</v>
      </c>
      <c r="I43" s="3">
        <f t="shared" si="1"/>
        <v>304.79999999999995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4485.1+178</f>
        <v>4663.1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193+223+8.7+101.1+200.9+9+241+299.2+7.6+43.6+283.1+0.8+48.7+276.1+3.4+2.2+253.5+5+282+1.9+4.8+3.2+261.3+0.5+265.1+0.7+6.9+276.6+1.6+124.9+209.3+1.9+2.9+4.7+268.2+52.2+128+106.4+2.5+2.2+206.7+137.5</f>
        <v>4551.899999999999</v>
      </c>
      <c r="E45" s="3">
        <f>D45/D145*100</f>
        <v>0.7578834009399491</v>
      </c>
      <c r="F45" s="3">
        <f>D45/B45*100</f>
        <v>97.61532028050006</v>
      </c>
      <c r="G45" s="3">
        <f aca="true" t="shared" si="4" ref="G45:G75">D45/C45*100</f>
        <v>60.59101497504157</v>
      </c>
      <c r="H45" s="3">
        <f>B45-D45</f>
        <v>111.20000000000164</v>
      </c>
      <c r="I45" s="3">
        <f aca="true" t="shared" si="5" ref="I45:I76">C45-D45</f>
        <v>2960.600000000002</v>
      </c>
    </row>
    <row r="46" spans="1:9" ht="18">
      <c r="A46" s="29" t="s">
        <v>3</v>
      </c>
      <c r="B46" s="49">
        <f>3844.9+178</f>
        <v>4022.9</v>
      </c>
      <c r="C46" s="50">
        <f>5755.9+764.6</f>
        <v>6520.5</v>
      </c>
      <c r="D46" s="51">
        <f>193+222.7+1.6+196.4+240.9+0.1+199.7+265.9+214+253.1+238.6+255.9+243.9+273.5+83.6+206+267.9+52.2+106.2+102.2+205.5+137.5</f>
        <v>3960.3999999999996</v>
      </c>
      <c r="E46" s="1">
        <f>D46/D45*100</f>
        <v>87.00542630549883</v>
      </c>
      <c r="F46" s="1">
        <f aca="true" t="shared" si="6" ref="F46:F73">D46/B46*100</f>
        <v>98.44639439210519</v>
      </c>
      <c r="G46" s="1">
        <f t="shared" si="4"/>
        <v>60.737673491296675</v>
      </c>
      <c r="H46" s="1">
        <f aca="true" t="shared" si="7" ref="H46:H73">B46-D46</f>
        <v>62.500000000000455</v>
      </c>
      <c r="I46" s="1">
        <f t="shared" si="5"/>
        <v>2560.1000000000004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0.015378193721303194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3.8+1+5.7-0.1+1.3+4.1-0.1+4.6+1.1+4.8+5.5+2</f>
        <v>33.7</v>
      </c>
      <c r="E48" s="1">
        <f>D48/D45*100</f>
        <v>0.7403501834398825</v>
      </c>
      <c r="F48" s="1">
        <f t="shared" si="6"/>
        <v>85.53299492385787</v>
      </c>
      <c r="G48" s="1">
        <f t="shared" si="4"/>
        <v>55.98006644518273</v>
      </c>
      <c r="H48" s="1">
        <f t="shared" si="7"/>
        <v>5.699999999999996</v>
      </c>
      <c r="I48" s="1">
        <f t="shared" si="5"/>
        <v>26.5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4.7+90.3+4.8+67.1+3.1+1.1+45.6+36.3+2.7+2+0.1+34.4+3.4+0.5+2.5+1.1+0.5+0.5+1.4+1.1+0.5+1.9+0.9</f>
        <v>306.4999999999999</v>
      </c>
      <c r="E49" s="1">
        <f>D49/D45*100</f>
        <v>6.733451965113469</v>
      </c>
      <c r="F49" s="1">
        <f t="shared" si="6"/>
        <v>96.35334800377235</v>
      </c>
      <c r="G49" s="1">
        <f t="shared" si="4"/>
        <v>56.93851012446589</v>
      </c>
      <c r="H49" s="1">
        <f t="shared" si="7"/>
        <v>11.600000000000136</v>
      </c>
      <c r="I49" s="1">
        <f t="shared" si="5"/>
        <v>231.80000000000007</v>
      </c>
    </row>
    <row r="50" spans="1:9" ht="18.75" thickBot="1">
      <c r="A50" s="29" t="s">
        <v>34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250.59999999999923</v>
      </c>
      <c r="E50" s="1">
        <f>D50/D45*100</f>
        <v>5.505393352226527</v>
      </c>
      <c r="F50" s="1">
        <f t="shared" si="6"/>
        <v>88.9598864039755</v>
      </c>
      <c r="G50" s="1">
        <f t="shared" si="4"/>
        <v>63.879683915370535</v>
      </c>
      <c r="H50" s="1">
        <f t="shared" si="7"/>
        <v>31.100000000001046</v>
      </c>
      <c r="I50" s="1">
        <f t="shared" si="5"/>
        <v>141.70000000000175</v>
      </c>
    </row>
    <row r="51" spans="1:9" ht="18.75" thickBot="1">
      <c r="A51" s="28" t="s">
        <v>4</v>
      </c>
      <c r="B51" s="52">
        <f>9491.7+83.6</f>
        <v>9575.300000000001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</f>
        <v>8856.100000000004</v>
      </c>
      <c r="E51" s="3">
        <f>D51/D145*100</f>
        <v>1.474525184442604</v>
      </c>
      <c r="F51" s="3">
        <f>D51/B51*100</f>
        <v>92.4890081772895</v>
      </c>
      <c r="G51" s="3">
        <f t="shared" si="4"/>
        <v>59.64667690401145</v>
      </c>
      <c r="H51" s="3">
        <f>B51-D51</f>
        <v>719.1999999999971</v>
      </c>
      <c r="I51" s="3">
        <f t="shared" si="5"/>
        <v>5991.499999999996</v>
      </c>
    </row>
    <row r="52" spans="1:9" ht="18">
      <c r="A52" s="29" t="s">
        <v>3</v>
      </c>
      <c r="B52" s="49">
        <f>5755+83.6</f>
        <v>5838.6</v>
      </c>
      <c r="C52" s="50">
        <f>8729.1+639.9</f>
        <v>9369</v>
      </c>
      <c r="D52" s="51">
        <f>260.4+390.2+0.1+271.7+395.7-0.1+282.9+391.4+0.1+7.8+263.9+397.2+272.6+486-0.1+358+766.6-0.1+295.1+13.6+394.1+219.2+320.5</f>
        <v>5786.8</v>
      </c>
      <c r="E52" s="1">
        <f>D52/D51*100</f>
        <v>65.3425322658958</v>
      </c>
      <c r="F52" s="1">
        <f t="shared" si="6"/>
        <v>99.11280101394169</v>
      </c>
      <c r="G52" s="1">
        <f t="shared" si="4"/>
        <v>61.76539652043975</v>
      </c>
      <c r="H52" s="1">
        <f t="shared" si="7"/>
        <v>51.80000000000018</v>
      </c>
      <c r="I52" s="1">
        <f t="shared" si="5"/>
        <v>3582.2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1.7+1.5+4.6+9.7+8-0.1+0.1+5.9+12.1+0.1+17.6+12.8+4+10.7+8.4+14.1+1.9+4.9+0.7+2.4+2.3+3.8</f>
        <v>127.20000000000002</v>
      </c>
      <c r="E54" s="1">
        <f>D54/D51*100</f>
        <v>1.4362981447815626</v>
      </c>
      <c r="F54" s="1">
        <f t="shared" si="6"/>
        <v>79.45034353529046</v>
      </c>
      <c r="G54" s="1">
        <f t="shared" si="4"/>
        <v>48.23663253697384</v>
      </c>
      <c r="H54" s="1">
        <f t="shared" si="7"/>
        <v>32.89999999999998</v>
      </c>
      <c r="I54" s="1">
        <f t="shared" si="5"/>
        <v>136.49999999999997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</f>
        <v>415.7000000000001</v>
      </c>
      <c r="E55" s="1">
        <f>D55/D51*100</f>
        <v>4.693939770327796</v>
      </c>
      <c r="F55" s="1">
        <f t="shared" si="6"/>
        <v>96.36068613815488</v>
      </c>
      <c r="G55" s="1">
        <f t="shared" si="4"/>
        <v>58.50809289232936</v>
      </c>
      <c r="H55" s="1">
        <f t="shared" si="7"/>
        <v>15.699999999999875</v>
      </c>
      <c r="I55" s="1">
        <f t="shared" si="5"/>
        <v>294.7999999999999</v>
      </c>
    </row>
    <row r="56" spans="1:9" ht="18.75" thickBot="1">
      <c r="A56" s="29" t="s">
        <v>34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2526.4000000000037</v>
      </c>
      <c r="E56" s="1">
        <f>D56/D51*100</f>
        <v>28.527229818994847</v>
      </c>
      <c r="F56" s="1">
        <f t="shared" si="6"/>
        <v>80.32557548009676</v>
      </c>
      <c r="G56" s="1">
        <f t="shared" si="4"/>
        <v>56.22343384889291</v>
      </c>
      <c r="H56" s="1">
        <f t="shared" si="7"/>
        <v>618.799999999997</v>
      </c>
      <c r="I56" s="1">
        <f>C56-D56</f>
        <v>1967.0999999999972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3866.6+1.8</f>
        <v>3868.4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</f>
        <v>2610.8999999999996</v>
      </c>
      <c r="E58" s="3">
        <f>D58/D145*100</f>
        <v>0.4347102905411177</v>
      </c>
      <c r="F58" s="3">
        <f>D58/B58*100</f>
        <v>67.49302037017887</v>
      </c>
      <c r="G58" s="3">
        <f t="shared" si="4"/>
        <v>46.39950239914696</v>
      </c>
      <c r="H58" s="3">
        <f>B58-D58</f>
        <v>1257.5000000000005</v>
      </c>
      <c r="I58" s="3">
        <f t="shared" si="5"/>
        <v>3016.1000000000004</v>
      </c>
    </row>
    <row r="59" spans="1:9" ht="18">
      <c r="A59" s="29" t="s">
        <v>3</v>
      </c>
      <c r="B59" s="49">
        <f>955.7+41</f>
        <v>996.7</v>
      </c>
      <c r="C59" s="50">
        <f>1426.1+141.2</f>
        <v>1567.3</v>
      </c>
      <c r="D59" s="51">
        <f>36.1+65.6+39.2+69.1+1.8+43+66+41.2+71.4+46.8+1.2+82.5+0.1+44.9+89.3+53.8+64.9+50.3+105.6</f>
        <v>972.7999999999998</v>
      </c>
      <c r="E59" s="1">
        <f>D59/D58*100</f>
        <v>37.259182657321226</v>
      </c>
      <c r="F59" s="1">
        <f t="shared" si="6"/>
        <v>97.60208688672618</v>
      </c>
      <c r="G59" s="1">
        <f t="shared" si="4"/>
        <v>62.068525489695645</v>
      </c>
      <c r="H59" s="1">
        <f t="shared" si="7"/>
        <v>23.900000000000205</v>
      </c>
      <c r="I59" s="1">
        <f t="shared" si="5"/>
        <v>594.5000000000001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</f>
        <v>295.6</v>
      </c>
      <c r="E60" s="1">
        <f>D60/D58*100</f>
        <v>11.321766440690952</v>
      </c>
      <c r="F60" s="1">
        <f>D60/B60*100</f>
        <v>98.56618872957654</v>
      </c>
      <c r="G60" s="1">
        <f t="shared" si="4"/>
        <v>98.56618872957654</v>
      </c>
      <c r="H60" s="1">
        <f t="shared" si="7"/>
        <v>4.2999999999999545</v>
      </c>
      <c r="I60" s="1">
        <f t="shared" si="5"/>
        <v>4.2999999999999545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1.3+56.1+4.9+63.5+3.5+0.7+63-0.1+10.3+25.7+2.8+0.3+7.3+0.2+1+0.1+0.3+1</f>
        <v>241.90000000000003</v>
      </c>
      <c r="E61" s="1">
        <f>D61/D58*100</f>
        <v>9.265004404611439</v>
      </c>
      <c r="F61" s="1">
        <f t="shared" si="6"/>
        <v>83.041537933402</v>
      </c>
      <c r="G61" s="1">
        <f t="shared" si="4"/>
        <v>52.04388984509467</v>
      </c>
      <c r="H61" s="1">
        <f t="shared" si="7"/>
        <v>49.39999999999998</v>
      </c>
      <c r="I61" s="1">
        <f t="shared" si="5"/>
        <v>222.89999999999998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37.27833314182849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127.29999999999984</v>
      </c>
      <c r="E63" s="1">
        <f>D63/D58*100</f>
        <v>4.87571335554789</v>
      </c>
      <c r="F63" s="1">
        <f t="shared" si="6"/>
        <v>66.7190775681343</v>
      </c>
      <c r="G63" s="1">
        <f t="shared" si="4"/>
        <v>62.006819288845705</v>
      </c>
      <c r="H63" s="1">
        <f t="shared" si="7"/>
        <v>63.499999999999545</v>
      </c>
      <c r="I63" s="1">
        <f t="shared" si="5"/>
        <v>77.99999999999955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316.8</v>
      </c>
      <c r="C68" s="53">
        <f>C69+C70</f>
        <v>405.6</v>
      </c>
      <c r="D68" s="54">
        <f>SUM(D69:D70)</f>
        <v>245.39999999999998</v>
      </c>
      <c r="E68" s="42">
        <f>D68/D145*100</f>
        <v>0.04085867145382446</v>
      </c>
      <c r="F68" s="111">
        <f>D68/B68*100</f>
        <v>77.4621212121212</v>
      </c>
      <c r="G68" s="3">
        <f t="shared" si="4"/>
        <v>60.50295857988165</v>
      </c>
      <c r="H68" s="3">
        <f>B68-D68</f>
        <v>71.40000000000003</v>
      </c>
      <c r="I68" s="3">
        <f t="shared" si="5"/>
        <v>160.20000000000005</v>
      </c>
    </row>
    <row r="69" spans="1:9" ht="18">
      <c r="A69" s="29" t="s">
        <v>8</v>
      </c>
      <c r="B69" s="49">
        <f>239.8+0.1</f>
        <v>239.9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96.90301548492258</v>
      </c>
      <c r="F69" s="1">
        <f t="shared" si="6"/>
        <v>99.12463526469362</v>
      </c>
      <c r="G69" s="1">
        <f t="shared" si="4"/>
        <v>96.94251936404402</v>
      </c>
      <c r="H69" s="1">
        <f t="shared" si="7"/>
        <v>2.1000000000000227</v>
      </c>
      <c r="I69" s="1">
        <f t="shared" si="5"/>
        <v>7.500000000000028</v>
      </c>
    </row>
    <row r="70" spans="1:9" ht="18.75" thickBot="1">
      <c r="A70" s="29" t="s">
        <v>9</v>
      </c>
      <c r="B70" s="49">
        <f>88-11-0.1</f>
        <v>76.9</v>
      </c>
      <c r="C70" s="50">
        <f>242.8-42.9-28.6-11</f>
        <v>160.3</v>
      </c>
      <c r="D70" s="51">
        <f>7.4+0.2</f>
        <v>7.6000000000000005</v>
      </c>
      <c r="E70" s="1">
        <f>D70/D69*100</f>
        <v>3.1959629941127</v>
      </c>
      <c r="F70" s="1">
        <f t="shared" si="6"/>
        <v>9.882964889466841</v>
      </c>
      <c r="G70" s="1">
        <f t="shared" si="4"/>
        <v>4.741110417966313</v>
      </c>
      <c r="H70" s="1">
        <f t="shared" si="7"/>
        <v>69.30000000000001</v>
      </c>
      <c r="I70" s="1">
        <f t="shared" si="5"/>
        <v>152.70000000000002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32788.9+37+369.9</f>
        <v>33195.8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</f>
        <v>31016.799999999996</v>
      </c>
      <c r="E89" s="3">
        <f>D89/D145*100</f>
        <v>5.16424303483693</v>
      </c>
      <c r="F89" s="3">
        <f aca="true" t="shared" si="10" ref="F89:F95">D89/B89*100</f>
        <v>93.43591659185797</v>
      </c>
      <c r="G89" s="3">
        <f t="shared" si="8"/>
        <v>61.47601256602614</v>
      </c>
      <c r="H89" s="3">
        <f aca="true" t="shared" si="11" ref="H89:H95">B89-D89</f>
        <v>2179.0000000000073</v>
      </c>
      <c r="I89" s="3">
        <f t="shared" si="9"/>
        <v>19436.700000000004</v>
      </c>
    </row>
    <row r="90" spans="1:9" ht="18">
      <c r="A90" s="29" t="s">
        <v>3</v>
      </c>
      <c r="B90" s="49">
        <f>26794.3+369.9</f>
        <v>27164.2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</f>
        <v>26701.500000000004</v>
      </c>
      <c r="E90" s="1">
        <f>D90/D89*100</f>
        <v>86.08721725000647</v>
      </c>
      <c r="F90" s="1">
        <f t="shared" si="10"/>
        <v>98.29665515641912</v>
      </c>
      <c r="G90" s="1">
        <f t="shared" si="8"/>
        <v>64.6206232272679</v>
      </c>
      <c r="H90" s="1">
        <f t="shared" si="11"/>
        <v>462.6999999999971</v>
      </c>
      <c r="I90" s="1">
        <f t="shared" si="9"/>
        <v>14618.899999999998</v>
      </c>
    </row>
    <row r="91" spans="1:9" ht="18">
      <c r="A91" s="29" t="s">
        <v>32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</f>
        <v>1075.6</v>
      </c>
      <c r="E91" s="1">
        <f>D91/D89*100</f>
        <v>3.467798096515437</v>
      </c>
      <c r="F91" s="1">
        <f t="shared" si="10"/>
        <v>74.31769501830995</v>
      </c>
      <c r="G91" s="1">
        <f t="shared" si="8"/>
        <v>41.76925167954642</v>
      </c>
      <c r="H91" s="1">
        <f t="shared" si="11"/>
        <v>371.70000000000005</v>
      </c>
      <c r="I91" s="1">
        <f t="shared" si="9"/>
        <v>1499.5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4584.300000000002</v>
      </c>
      <c r="C93" s="50">
        <f>C89-C90-C91-C92</f>
        <v>6557.999999999998</v>
      </c>
      <c r="D93" s="50">
        <f>D89-D90-D91-D92</f>
        <v>3239.699999999992</v>
      </c>
      <c r="E93" s="1">
        <f>D93/D89*100</f>
        <v>10.444984653478091</v>
      </c>
      <c r="F93" s="1">
        <f t="shared" si="10"/>
        <v>70.66945880505182</v>
      </c>
      <c r="G93" s="1">
        <f>D93/C93*100</f>
        <v>49.4007319304665</v>
      </c>
      <c r="H93" s="1">
        <f t="shared" si="11"/>
        <v>1344.60000000001</v>
      </c>
      <c r="I93" s="1">
        <f>C93-D93</f>
        <v>3318.300000000006</v>
      </c>
    </row>
    <row r="94" spans="1:9" ht="18.75">
      <c r="A94" s="122" t="s">
        <v>12</v>
      </c>
      <c r="B94" s="127">
        <f>36444.6+830</f>
        <v>37274.6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</f>
        <v>34889.30000000001</v>
      </c>
      <c r="E94" s="121">
        <f>D94/D145*100</f>
        <v>5.809007522224606</v>
      </c>
      <c r="F94" s="125">
        <f t="shared" si="10"/>
        <v>93.60073615813452</v>
      </c>
      <c r="G94" s="120">
        <f>D94/C94*100</f>
        <v>67.91990390960963</v>
      </c>
      <c r="H94" s="126">
        <f t="shared" si="11"/>
        <v>2385.2999999999884</v>
      </c>
      <c r="I94" s="121">
        <f>C94-D94</f>
        <v>16478.999999999993</v>
      </c>
    </row>
    <row r="95" spans="1:9" ht="18.75" thickBot="1">
      <c r="A95" s="123" t="s">
        <v>107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600+69+9+48.5+2.5+299.7+50.5+190.4+1.3+10.6+6.7+53.3-0.1+0.9+266.8+7.4+4.8+52.9+0.1+200.2+15.7+7.1+5.9+55+13+150.2+100.5+23.9+52.6+56+166.1+18.9+16.3+57</f>
        <v>2612.7000000000003</v>
      </c>
      <c r="E95" s="133">
        <f>D95/D94*100</f>
        <v>7.488542332462959</v>
      </c>
      <c r="F95" s="134">
        <f t="shared" si="10"/>
        <v>80.81348592638417</v>
      </c>
      <c r="G95" s="135">
        <f>D95/C95*100</f>
        <v>53.4436557776096</v>
      </c>
      <c r="H95" s="124">
        <f t="shared" si="11"/>
        <v>620.2999999999997</v>
      </c>
      <c r="I95" s="96">
        <f>C95-D95</f>
        <v>2275.9999999999995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6391.6+3.8</f>
        <v>6395.400000000001</v>
      </c>
      <c r="C101" s="104">
        <f>6061.2+4589.8-16.4-3.1+0.1-234+3.8</f>
        <v>10401.4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</f>
        <v>4079.5999999999995</v>
      </c>
      <c r="E101" s="25">
        <f>D101/D145*100</f>
        <v>0.679246275725437</v>
      </c>
      <c r="F101" s="25">
        <f>D101/B101*100</f>
        <v>63.789598774118886</v>
      </c>
      <c r="G101" s="25">
        <f aca="true" t="shared" si="12" ref="G101:G143">D101/C101*100</f>
        <v>39.22164324033302</v>
      </c>
      <c r="H101" s="25">
        <f aca="true" t="shared" si="13" ref="H101:H106">B101-D101</f>
        <v>2315.800000000001</v>
      </c>
      <c r="I101" s="25">
        <f aca="true" t="shared" si="14" ref="I101:I143">C101-D101</f>
        <v>6321.8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5759.8-4.8</f>
        <v>5755</v>
      </c>
      <c r="C103" s="51">
        <f>5036.9+4586-16.4-3.1+0.1-234-4.8</f>
        <v>9364.7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</f>
        <v>3677.3</v>
      </c>
      <c r="E103" s="1">
        <f>D103/D101*100</f>
        <v>90.13873909206787</v>
      </c>
      <c r="F103" s="1">
        <f aca="true" t="shared" si="15" ref="F103:F143">D103/B103*100</f>
        <v>63.897480451781064</v>
      </c>
      <c r="G103" s="1">
        <f t="shared" si="12"/>
        <v>39.2676754193941</v>
      </c>
      <c r="H103" s="1">
        <f t="shared" si="13"/>
        <v>2077.7</v>
      </c>
      <c r="I103" s="1">
        <f t="shared" si="14"/>
        <v>5687.400000000001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640.4000000000005</v>
      </c>
      <c r="C105" s="100">
        <f>C101-C102-C103</f>
        <v>1036.699999999999</v>
      </c>
      <c r="D105" s="100">
        <f>D101-D102-D103</f>
        <v>402.2999999999993</v>
      </c>
      <c r="E105" s="96">
        <f>D105/D101*100</f>
        <v>9.861260907932133</v>
      </c>
      <c r="F105" s="96">
        <f t="shared" si="15"/>
        <v>62.820112429731246</v>
      </c>
      <c r="G105" s="96">
        <f t="shared" si="12"/>
        <v>38.8058261792225</v>
      </c>
      <c r="H105" s="96">
        <f>B105-D105</f>
        <v>238.10000000000127</v>
      </c>
      <c r="I105" s="96">
        <f t="shared" si="14"/>
        <v>634.3999999999996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119072.79999999999</v>
      </c>
      <c r="C106" s="93">
        <f>SUM(C107:C142)-C114-C118+C143-C134-C135-C108-C111-C121-C122-C132</f>
        <v>173076.19999999998</v>
      </c>
      <c r="D106" s="93">
        <f>SUM(D107:D142)-D114-D118+D143-D134-D135-D108-D111-D121-D122-D132</f>
        <v>111792.70000000001</v>
      </c>
      <c r="E106" s="94">
        <f>D106/D145*100</f>
        <v>18.613289324514927</v>
      </c>
      <c r="F106" s="94">
        <f>D106/B106*100</f>
        <v>93.8860092313274</v>
      </c>
      <c r="G106" s="94">
        <f t="shared" si="12"/>
        <v>64.59160762716077</v>
      </c>
      <c r="H106" s="94">
        <f t="shared" si="13"/>
        <v>7280.099999999977</v>
      </c>
      <c r="I106" s="94">
        <f t="shared" si="14"/>
        <v>61283.49999999997</v>
      </c>
    </row>
    <row r="107" spans="1:9" ht="37.5">
      <c r="A107" s="34" t="s">
        <v>66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</f>
        <v>783.3000000000001</v>
      </c>
      <c r="E107" s="6">
        <f>D107/D106*100</f>
        <v>0.7006718685567125</v>
      </c>
      <c r="F107" s="6">
        <f t="shared" si="15"/>
        <v>64.30506526557755</v>
      </c>
      <c r="G107" s="6">
        <f t="shared" si="12"/>
        <v>43.52150238915436</v>
      </c>
      <c r="H107" s="6">
        <f aca="true" t="shared" si="16" ref="H107:H143">B107-D107</f>
        <v>434.79999999999984</v>
      </c>
      <c r="I107" s="6">
        <f t="shared" si="14"/>
        <v>1016.4999999999999</v>
      </c>
    </row>
    <row r="108" spans="1:9" ht="18">
      <c r="A108" s="29" t="s">
        <v>32</v>
      </c>
      <c r="B108" s="81">
        <v>498.1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81.81088134912667</v>
      </c>
      <c r="G108" s="1">
        <f t="shared" si="12"/>
        <v>49.47189510744202</v>
      </c>
      <c r="H108" s="1">
        <f t="shared" si="16"/>
        <v>90.60000000000002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618</v>
      </c>
      <c r="C109" s="68">
        <v>903.8</v>
      </c>
      <c r="D109" s="79">
        <f>20.7+31.6+0.1+27.7-0.1+31.4+0.1+10.6+34.1+43.9+13.6+28.6</f>
        <v>242.29999999999998</v>
      </c>
      <c r="E109" s="6">
        <f>D109/D106*100</f>
        <v>0.21674044906331089</v>
      </c>
      <c r="F109" s="6">
        <f>D109/B109*100</f>
        <v>39.20711974110032</v>
      </c>
      <c r="G109" s="6">
        <f t="shared" si="12"/>
        <v>26.809028546138524</v>
      </c>
      <c r="H109" s="6">
        <f t="shared" si="16"/>
        <v>375.70000000000005</v>
      </c>
      <c r="I109" s="6">
        <f t="shared" si="14"/>
        <v>661.5</v>
      </c>
    </row>
    <row r="110" spans="1:9" s="44" customFormat="1" ht="34.5" customHeight="1">
      <c r="A110" s="17" t="s">
        <v>74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0.02218391719674003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44.9</v>
      </c>
      <c r="C112" s="68">
        <v>67.4</v>
      </c>
      <c r="D112" s="79">
        <f>5.5+5.4+5.5+5.5+5.5+5.5-0.1+2.7+0.1+2.7+5.5</f>
        <v>43.800000000000004</v>
      </c>
      <c r="E112" s="6">
        <f>D112/D106*100</f>
        <v>0.03917966021037152</v>
      </c>
      <c r="F112" s="6">
        <f t="shared" si="15"/>
        <v>97.55011135857463</v>
      </c>
      <c r="G112" s="6">
        <f t="shared" si="12"/>
        <v>64.98516320474778</v>
      </c>
      <c r="H112" s="6">
        <f t="shared" si="16"/>
        <v>1.0999999999999943</v>
      </c>
      <c r="I112" s="6">
        <f t="shared" si="14"/>
        <v>23.6</v>
      </c>
    </row>
    <row r="113" spans="1:9" ht="37.5">
      <c r="A113" s="17" t="s">
        <v>46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96.4+0.6+6.3+86+10.4+21.5+5.3+0.1+11.6+102.1+10.6+3.5+5.6+100.7+13.3+0.9+3.6+96.9-0.1+15.7+1.7+1+96.8+0.1+4+1+0.2+1.2+96.6+0.3-0.1+8.6+0.3+99</f>
        <v>901.7000000000002</v>
      </c>
      <c r="E113" s="6">
        <f>D113/D106*100</f>
        <v>0.8065821829153426</v>
      </c>
      <c r="F113" s="6">
        <f t="shared" si="15"/>
        <v>87.55218953296438</v>
      </c>
      <c r="G113" s="6">
        <f t="shared" si="12"/>
        <v>58.83849918433932</v>
      </c>
      <c r="H113" s="6">
        <f t="shared" si="16"/>
        <v>128.19999999999993</v>
      </c>
      <c r="I113" s="6">
        <f t="shared" si="14"/>
        <v>630.7999999999998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0.032202460446880694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0.05286570590029581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1.6+18.3+17.8+0.8+2.2+4+0.6+16.7+3.7+3.6+16.7+3.4+1.3+16.7+2.9+0.8+16.7+0.1+0.8+1.3+16.7+3.7+1.1</f>
        <v>151.5</v>
      </c>
      <c r="E117" s="6">
        <f>D117/D106*100</f>
        <v>0.13551868771395625</v>
      </c>
      <c r="F117" s="6">
        <f t="shared" si="15"/>
        <v>98.37662337662337</v>
      </c>
      <c r="G117" s="6">
        <f t="shared" si="12"/>
        <v>74.11937377690802</v>
      </c>
      <c r="H117" s="6">
        <f t="shared" si="16"/>
        <v>2.5</v>
      </c>
      <c r="I117" s="6">
        <f t="shared" si="14"/>
        <v>52.900000000000006</v>
      </c>
    </row>
    <row r="118" spans="1:9" s="39" customFormat="1" ht="18">
      <c r="A118" s="40" t="s">
        <v>53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0.3562844443331273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110.6+553+71.8+70.5</f>
        <v>805.9</v>
      </c>
      <c r="E120" s="19">
        <f>D120/D106*100</f>
        <v>0.720887857615032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>
        <v>70</v>
      </c>
      <c r="E121" s="6"/>
      <c r="F121" s="1">
        <f>D121/B121*100</f>
        <v>100</v>
      </c>
      <c r="G121" s="1">
        <f t="shared" si="12"/>
        <v>100</v>
      </c>
      <c r="H121" s="1">
        <f t="shared" si="16"/>
        <v>0</v>
      </c>
      <c r="I121" s="1">
        <f t="shared" si="14"/>
        <v>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1614.1</v>
      </c>
      <c r="C123" s="60">
        <v>2933.8</v>
      </c>
      <c r="D123" s="83">
        <f>21+0.9+174.2+5+11.4+16.5-0.1+809.5+345.2+0.7</f>
        <v>1384.3000000000002</v>
      </c>
      <c r="E123" s="19">
        <f>D123/D106*100</f>
        <v>1.238274055461582</v>
      </c>
      <c r="F123" s="6">
        <f t="shared" si="15"/>
        <v>85.76296388080046</v>
      </c>
      <c r="G123" s="6">
        <f t="shared" si="12"/>
        <v>47.18453882336902</v>
      </c>
      <c r="H123" s="6">
        <f t="shared" si="16"/>
        <v>229.79999999999973</v>
      </c>
      <c r="I123" s="6">
        <f t="shared" si="14"/>
        <v>1549.5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0.11619721144582784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0.001789025580382261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77</v>
      </c>
      <c r="B127" s="80">
        <v>743.3</v>
      </c>
      <c r="C127" s="60">
        <f>101.4+27.9+634</f>
        <v>763.3</v>
      </c>
      <c r="D127" s="83">
        <f>3+3+4.9+21.9-0.1+12.2+1.6+6.9+7.8+0.7+8.4+2.4+5+2.4+0.1+5.6+2.4+0.1+5+2.4+578.6+30.5+2.4</f>
        <v>707.2</v>
      </c>
      <c r="E127" s="19">
        <f>D127/D106*100</f>
        <v>0.6325994452231675</v>
      </c>
      <c r="F127" s="6">
        <f t="shared" si="15"/>
        <v>95.14327996771156</v>
      </c>
      <c r="G127" s="6">
        <f t="shared" si="12"/>
        <v>92.65033407572383</v>
      </c>
      <c r="H127" s="6">
        <f t="shared" si="16"/>
        <v>36.09999999999991</v>
      </c>
      <c r="I127" s="6">
        <f t="shared" si="14"/>
        <v>56.09999999999991</v>
      </c>
    </row>
    <row r="128" spans="1:9" s="2" customFormat="1" ht="18.75">
      <c r="A128" s="17" t="s">
        <v>71</v>
      </c>
      <c r="B128" s="80">
        <v>500.3</v>
      </c>
      <c r="C128" s="60">
        <v>650</v>
      </c>
      <c r="D128" s="83">
        <f>8.7+23.6+6.2+5.1+38.5+4.6+4.8+8.6+12.9+2.8+0.1+16.3+3+2.5+6.2-0.2+39.7+9.9+9.5+37.2+8.4+10.6+4.5+4.6+8.4+6.1</f>
        <v>282.6</v>
      </c>
      <c r="E128" s="19">
        <f>D128/D106*100</f>
        <v>0.25278931450801345</v>
      </c>
      <c r="F128" s="6">
        <f t="shared" si="15"/>
        <v>56.48610833499901</v>
      </c>
      <c r="G128" s="6">
        <f t="shared" si="12"/>
        <v>43.47692307692308</v>
      </c>
      <c r="H128" s="6">
        <f t="shared" si="16"/>
        <v>217.7</v>
      </c>
      <c r="I128" s="6">
        <f t="shared" si="14"/>
        <v>367.4</v>
      </c>
    </row>
    <row r="129" spans="1:9" s="2" customFormat="1" ht="35.25" customHeight="1">
      <c r="A129" s="17" t="s">
        <v>70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0.031486850214727795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72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</f>
        <v>190.6</v>
      </c>
      <c r="E131" s="19">
        <f>D131/D106*100</f>
        <v>0.17049413781042946</v>
      </c>
      <c r="F131" s="6">
        <f t="shared" si="15"/>
        <v>62.635557016102524</v>
      </c>
      <c r="G131" s="6">
        <f>D131/C131*100</f>
        <v>62.635557016102524</v>
      </c>
      <c r="H131" s="6">
        <f t="shared" si="16"/>
        <v>113.70000000000002</v>
      </c>
      <c r="I131" s="6">
        <f t="shared" si="14"/>
        <v>113.70000000000002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</f>
        <v>63.6</v>
      </c>
      <c r="E132" s="1">
        <f>D132/D131*100</f>
        <v>33.36831059811123</v>
      </c>
      <c r="F132" s="1">
        <f t="shared" si="15"/>
        <v>99.06542056074767</v>
      </c>
      <c r="G132" s="1">
        <f>D132/C132*100</f>
        <v>99.06542056074767</v>
      </c>
      <c r="H132" s="1">
        <f t="shared" si="16"/>
        <v>0.6000000000000014</v>
      </c>
      <c r="I132" s="1">
        <f t="shared" si="14"/>
        <v>0.6000000000000014</v>
      </c>
    </row>
    <row r="133" spans="1:9" s="2" customFormat="1" ht="18.75">
      <c r="A133" s="17" t="s">
        <v>31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21.9+41.8+0.1+6.1+26+3.6+0.1+41-0.1+21.3+6.2+7.1+43.4+4.5+8.8+48.5+7.5+32.1+0.1+41.9+8.4+5.1+33.1+1.3+25.6+4.3+48.8+5.3+25.6+1.9+53.3-0.1+30.8+0.1+48.5+0.4</f>
        <v>654.3</v>
      </c>
      <c r="E133" s="19">
        <f>D133/D106*100</f>
        <v>0.5852797186220565</v>
      </c>
      <c r="F133" s="6">
        <f t="shared" si="15"/>
        <v>99.90838295923041</v>
      </c>
      <c r="G133" s="6">
        <f t="shared" si="12"/>
        <v>66.37922288728822</v>
      </c>
      <c r="H133" s="6">
        <f t="shared" si="16"/>
        <v>0.6000000000000227</v>
      </c>
      <c r="I133" s="6">
        <f t="shared" si="14"/>
        <v>331.4</v>
      </c>
    </row>
    <row r="134" spans="1:9" s="39" customFormat="1" ht="18">
      <c r="A134" s="40" t="s">
        <v>53</v>
      </c>
      <c r="B134" s="81">
        <f>570.3+0.4</f>
        <v>570.6999999999999</v>
      </c>
      <c r="C134" s="51">
        <v>848.7</v>
      </c>
      <c r="D134" s="82">
        <f>21.9+39.7+0.1+6.1+19+41-0.1+21.3+43.3+8.5+32.3+32.1+41.5+4.2+33.1+25.6+47+0.1+25.6+53.3+26.2+48.5+0.4</f>
        <v>570.7000000000002</v>
      </c>
      <c r="E134" s="1">
        <f>D134/D133*100</f>
        <v>87.22298639767693</v>
      </c>
      <c r="F134" s="1">
        <f aca="true" t="shared" si="17" ref="F134:F142">D134/B134*100</f>
        <v>100.00000000000004</v>
      </c>
      <c r="G134" s="1">
        <f t="shared" si="12"/>
        <v>67.24402026628964</v>
      </c>
      <c r="H134" s="1">
        <f t="shared" si="16"/>
        <v>0</v>
      </c>
      <c r="I134" s="1">
        <f t="shared" si="14"/>
        <v>277.9999999999999</v>
      </c>
    </row>
    <row r="135" spans="1:9" s="39" customFormat="1" ht="18">
      <c r="A135" s="29" t="s">
        <v>32</v>
      </c>
      <c r="B135" s="81">
        <v>22.1</v>
      </c>
      <c r="C135" s="51">
        <v>26.3</v>
      </c>
      <c r="D135" s="82">
        <f>7+6+0.2+7.1+0.1+0.4+0.3+0.1+0.3+0.4</f>
        <v>21.9</v>
      </c>
      <c r="E135" s="1">
        <f>D135/D133*100</f>
        <v>3.3470884915176526</v>
      </c>
      <c r="F135" s="1">
        <f t="shared" si="17"/>
        <v>99.09502262443438</v>
      </c>
      <c r="G135" s="1">
        <f>D135/C135*100</f>
        <v>83.2699619771863</v>
      </c>
      <c r="H135" s="1">
        <f t="shared" si="16"/>
        <v>0.20000000000000284</v>
      </c>
      <c r="I135" s="1">
        <f t="shared" si="14"/>
        <v>4.400000000000002</v>
      </c>
    </row>
    <row r="136" spans="1:9" s="2" customFormat="1" ht="56.25">
      <c r="A136" s="23" t="s">
        <v>117</v>
      </c>
      <c r="B136" s="80">
        <v>200</v>
      </c>
      <c r="C136" s="60">
        <v>200</v>
      </c>
      <c r="D136" s="83">
        <v>200</v>
      </c>
      <c r="E136" s="19">
        <f>D136/D106*100</f>
        <v>0.1789025580382261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113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114</v>
      </c>
      <c r="B138" s="80">
        <f>2550+1900</f>
        <v>4450</v>
      </c>
      <c r="C138" s="60">
        <f>6500-2076-424+9200</f>
        <v>13200</v>
      </c>
      <c r="D138" s="83">
        <f>241.3+64.6+48.1+278.9+170.1+140.9+637.5</f>
        <v>1581.4</v>
      </c>
      <c r="E138" s="19">
        <f>D138/D106*100</f>
        <v>1.4145825264082539</v>
      </c>
      <c r="F138" s="112">
        <f t="shared" si="17"/>
        <v>35.53707865168539</v>
      </c>
      <c r="G138" s="6">
        <f t="shared" si="12"/>
        <v>11.980303030303032</v>
      </c>
      <c r="H138" s="6">
        <f t="shared" si="16"/>
        <v>2868.6</v>
      </c>
      <c r="I138" s="6">
        <f t="shared" si="14"/>
        <v>11618.6</v>
      </c>
    </row>
    <row r="139" spans="1:9" s="2" customFormat="1" ht="18.75">
      <c r="A139" s="23" t="s">
        <v>115</v>
      </c>
      <c r="B139" s="80">
        <v>3774.8</v>
      </c>
      <c r="C139" s="60">
        <f>6082.6-959.5</f>
        <v>5123.1</v>
      </c>
      <c r="D139" s="83">
        <f>626.1+43.8+40.3+236+112.9+11.4-0.1+68.6+570.3+22.4+44.4+39.9+585.7+199.1+14+103.1+2.3+286.9+158.5+66.9+234.3</f>
        <v>3466.8000000000006</v>
      </c>
      <c r="E139" s="19">
        <f>D139/D106*100</f>
        <v>3.1010969410346116</v>
      </c>
      <c r="F139" s="112">
        <f t="shared" si="17"/>
        <v>91.84062731800363</v>
      </c>
      <c r="G139" s="6">
        <f t="shared" si="12"/>
        <v>67.66996545060609</v>
      </c>
      <c r="H139" s="6">
        <f t="shared" si="16"/>
        <v>307.99999999999955</v>
      </c>
      <c r="I139" s="6">
        <f t="shared" si="14"/>
        <v>1656.2999999999997</v>
      </c>
    </row>
    <row r="140" spans="1:9" s="2" customFormat="1" ht="18.75">
      <c r="A140" s="17" t="s">
        <v>118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5.619329347980682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0.48142678368086644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f>72594.9+6122.7-50</f>
        <v>78667.59999999999</v>
      </c>
      <c r="C142" s="60">
        <f>91632.1+2530-27+23.1+959.5+13590.1</f>
        <v>108707.80000000002</v>
      </c>
      <c r="D142" s="83">
        <f>500.9+20883.8+13804+7506.8+2189.4+1247.6+18786.6+13748.5</f>
        <v>78667.6</v>
      </c>
      <c r="E142" s="19">
        <f>D142/D106*100</f>
        <v>70.36917437363978</v>
      </c>
      <c r="F142" s="6">
        <f t="shared" si="17"/>
        <v>100.00000000000003</v>
      </c>
      <c r="G142" s="6">
        <f t="shared" si="12"/>
        <v>72.36610436417625</v>
      </c>
      <c r="H142" s="6">
        <f t="shared" si="16"/>
        <v>0</v>
      </c>
      <c r="I142" s="6">
        <f t="shared" si="14"/>
        <v>30040.20000000001</v>
      </c>
      <c r="K142" s="103"/>
      <c r="L142" s="45"/>
    </row>
    <row r="143" spans="1:12" s="2" customFormat="1" ht="18.75">
      <c r="A143" s="17" t="s">
        <v>116</v>
      </c>
      <c r="B143" s="80">
        <f>12987.1+1855.3</f>
        <v>14842.4</v>
      </c>
      <c r="C143" s="60">
        <v>22263.4</v>
      </c>
      <c r="D143" s="83">
        <f>1236.9+618.4+618.4+618.4+618.5+618.4+618.4+618.5+618.4+618.4+618.5+618.4+618.4+618.5+618.4+618.4+618.5+618.4+618.4+618.5+618.4+618.4</f>
        <v>14223.899999999996</v>
      </c>
      <c r="E143" s="19">
        <f>D143/D106*100</f>
        <v>12.723460476399618</v>
      </c>
      <c r="F143" s="6">
        <f t="shared" si="15"/>
        <v>95.83288416967603</v>
      </c>
      <c r="G143" s="6">
        <f t="shared" si="12"/>
        <v>63.88916338025636</v>
      </c>
      <c r="H143" s="6">
        <f t="shared" si="16"/>
        <v>618.5000000000036</v>
      </c>
      <c r="I143" s="6">
        <f t="shared" si="14"/>
        <v>8039.5000000000055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126528.79999999999</v>
      </c>
      <c r="C144" s="84">
        <f>C43+C68+C71+C76+C78+C86+C101+C106+C99+C83+C97</f>
        <v>185191.99999999997</v>
      </c>
      <c r="D144" s="60">
        <f>D43+D68+D71+D76+D78+D86+D101+D106+D99+D83+D97</f>
        <v>116631.80000000002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634336.8999999999</v>
      </c>
      <c r="C145" s="54">
        <f>C6+C18+C33+C43+C51+C58+C68+C71+C76+C78+C86+C89+C94+C101+C106+C99+C83+C97+C45</f>
        <v>967182.8</v>
      </c>
      <c r="D145" s="54">
        <f>D6+D18+D33+D43+D51+D58+D68+D71+D76+D78+D86+D89+D94+D101+D106+D99+D83+D97+D45</f>
        <v>600606.8999999999</v>
      </c>
      <c r="E145" s="38">
        <v>100</v>
      </c>
      <c r="F145" s="3">
        <f>D145/B145*100</f>
        <v>94.68263630887624</v>
      </c>
      <c r="G145" s="3">
        <f aca="true" t="shared" si="18" ref="G145:G151">D145/C145*100</f>
        <v>62.09859191044339</v>
      </c>
      <c r="H145" s="3">
        <f aca="true" t="shared" si="19" ref="H145:H151">B145-D145</f>
        <v>33730</v>
      </c>
      <c r="I145" s="3">
        <f aca="true" t="shared" si="20" ref="I145:I151">C145-D145</f>
        <v>366575.90000000014</v>
      </c>
      <c r="K145" s="46"/>
      <c r="L145" s="47"/>
    </row>
    <row r="146" spans="1:12" ht="18.75">
      <c r="A146" s="23" t="s">
        <v>5</v>
      </c>
      <c r="B146" s="67">
        <f>B8+B20+B34+B52+B59+B90+B114+B118+B46+B134</f>
        <v>355383.50000000006</v>
      </c>
      <c r="C146" s="67">
        <f>C8+C20+C34+C52+C59+C90+C114+C118+C46+C134</f>
        <v>558041.7</v>
      </c>
      <c r="D146" s="67">
        <f>D8+D20+D34+D52+D59+D90+D114+D118+D46+D134</f>
        <v>351547.1</v>
      </c>
      <c r="E146" s="6">
        <f>D146/D145*100</f>
        <v>58.53197823734626</v>
      </c>
      <c r="F146" s="6">
        <f aca="true" t="shared" si="21" ref="F146:F157">D146/B146*100</f>
        <v>98.92049011842134</v>
      </c>
      <c r="G146" s="6">
        <f t="shared" si="18"/>
        <v>62.99656459364954</v>
      </c>
      <c r="H146" s="6">
        <f t="shared" si="19"/>
        <v>3836.4000000000815</v>
      </c>
      <c r="I146" s="18">
        <f t="shared" si="20"/>
        <v>206494.59999999998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66400.7</v>
      </c>
      <c r="C147" s="68">
        <f>C11+C23+C36+C55+C61+C91+C49+C135+C108+C111+C95+C132</f>
        <v>99794.5</v>
      </c>
      <c r="D147" s="68">
        <f>D11+D23+D36+D55+D61+D91+D49+D135+D108+D111+D95+D132</f>
        <v>57574.59999999999</v>
      </c>
      <c r="E147" s="6">
        <f>D147/D145*100</f>
        <v>9.586070356501066</v>
      </c>
      <c r="F147" s="6">
        <f t="shared" si="21"/>
        <v>86.7078208512862</v>
      </c>
      <c r="G147" s="6">
        <f t="shared" si="18"/>
        <v>57.693159442654654</v>
      </c>
      <c r="H147" s="6">
        <f t="shared" si="19"/>
        <v>8826.100000000006</v>
      </c>
      <c r="I147" s="18">
        <f t="shared" si="20"/>
        <v>42219.90000000001</v>
      </c>
      <c r="K147" s="46"/>
      <c r="L147" s="102"/>
    </row>
    <row r="148" spans="1:12" ht="18.75">
      <c r="A148" s="23" t="s">
        <v>1</v>
      </c>
      <c r="B148" s="67">
        <f>B22+B10+B54+B48+B60+B35+B102+B122</f>
        <v>15594.8</v>
      </c>
      <c r="C148" s="67">
        <f>C22+C10+C54+C48+C60+C35+C102+C122</f>
        <v>25986.7</v>
      </c>
      <c r="D148" s="67">
        <f>D22+D10+D54+D48+D60+D35+D102+D122</f>
        <v>13421.199999999999</v>
      </c>
      <c r="E148" s="6">
        <f>D148/D145*100</f>
        <v>2.234606362331169</v>
      </c>
      <c r="F148" s="6">
        <f t="shared" si="21"/>
        <v>86.06202067355785</v>
      </c>
      <c r="G148" s="6">
        <f t="shared" si="18"/>
        <v>51.64641912978561</v>
      </c>
      <c r="H148" s="6">
        <f t="shared" si="19"/>
        <v>2173.6000000000004</v>
      </c>
      <c r="I148" s="18">
        <f t="shared" si="20"/>
        <v>12565.500000000002</v>
      </c>
      <c r="K148" s="46"/>
      <c r="L148" s="47"/>
    </row>
    <row r="149" spans="1:12" ht="21" customHeight="1">
      <c r="A149" s="23" t="s">
        <v>15</v>
      </c>
      <c r="B149" s="67">
        <f>B12+B24+B103+B62+B38+B92</f>
        <v>9032.2</v>
      </c>
      <c r="C149" s="67">
        <f>C12+C24+C103+C62+C38+C92</f>
        <v>14325.800000000003</v>
      </c>
      <c r="D149" s="67">
        <f>D12+D24+D103+D62+D38+D92</f>
        <v>5743.2</v>
      </c>
      <c r="E149" s="6">
        <f>D149/D145*100</f>
        <v>0.9562327705525863</v>
      </c>
      <c r="F149" s="6">
        <f t="shared" si="21"/>
        <v>63.58583733752573</v>
      </c>
      <c r="G149" s="6">
        <f t="shared" si="18"/>
        <v>40.089907718940644</v>
      </c>
      <c r="H149" s="6">
        <f t="shared" si="19"/>
        <v>3289.000000000001</v>
      </c>
      <c r="I149" s="18">
        <f t="shared" si="20"/>
        <v>8582.600000000002</v>
      </c>
      <c r="K149" s="46"/>
      <c r="L149" s="102"/>
    </row>
    <row r="150" spans="1:12" ht="18.75">
      <c r="A150" s="23" t="s">
        <v>2</v>
      </c>
      <c r="B150" s="67">
        <f>B9+B21+B47+B53+B121</f>
        <v>8173.900000000001</v>
      </c>
      <c r="C150" s="67">
        <f>C9+C21+C47+C53+C121</f>
        <v>13124.6</v>
      </c>
      <c r="D150" s="67">
        <f>D9+D21+D47+D53+D121</f>
        <v>6164.099999999999</v>
      </c>
      <c r="E150" s="6">
        <f>D150/D145*100</f>
        <v>1.0263118855277886</v>
      </c>
      <c r="F150" s="6">
        <f t="shared" si="21"/>
        <v>75.41198204039686</v>
      </c>
      <c r="G150" s="6">
        <f t="shared" si="18"/>
        <v>46.966002773417856</v>
      </c>
      <c r="H150" s="6">
        <f t="shared" si="19"/>
        <v>2009.800000000001</v>
      </c>
      <c r="I150" s="18">
        <f t="shared" si="20"/>
        <v>6960.500000000001</v>
      </c>
      <c r="K150" s="46"/>
      <c r="L150" s="47"/>
    </row>
    <row r="151" spans="1:12" ht="19.5" thickBot="1">
      <c r="A151" s="23" t="s">
        <v>34</v>
      </c>
      <c r="B151" s="67">
        <f>B145-B146-B147-B148-B149-B150</f>
        <v>179751.79999999984</v>
      </c>
      <c r="C151" s="67">
        <f>C145-C146-C147-C148-C149-C150</f>
        <v>255909.5000000001</v>
      </c>
      <c r="D151" s="67">
        <f>D145-D146-D147-D148-D149-D150</f>
        <v>166156.69999999992</v>
      </c>
      <c r="E151" s="6">
        <f>D151/D145*100</f>
        <v>27.664800387741124</v>
      </c>
      <c r="F151" s="6">
        <f t="shared" si="21"/>
        <v>92.43673776841182</v>
      </c>
      <c r="G151" s="43">
        <f t="shared" si="18"/>
        <v>64.92791396958685</v>
      </c>
      <c r="H151" s="6">
        <f t="shared" si="19"/>
        <v>13595.099999999919</v>
      </c>
      <c r="I151" s="6">
        <f t="shared" si="20"/>
        <v>89752.80000000016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16653.2</v>
      </c>
      <c r="C153" s="73">
        <f>3301.9+496+14356.4+1358.1</f>
        <v>19512.399999999998</v>
      </c>
      <c r="D153" s="73">
        <f>288.1+1522.4+951.8+530.2+8.8+0.5+0.1+495.9+10.6+101+174.6+2.1+509.4+15+8.4+488.4+154.3+94.8+166.1+65.8+286.9+80.4+239.8+10.1+12.9+335.6+111.7+50.2+26.4+275.5+191.2</f>
        <v>7208.999999999999</v>
      </c>
      <c r="E153" s="15"/>
      <c r="F153" s="6">
        <f t="shared" si="21"/>
        <v>43.288977493815</v>
      </c>
      <c r="G153" s="6">
        <f aca="true" t="shared" si="22" ref="G153:G162">D153/C153*100</f>
        <v>36.94573706976077</v>
      </c>
      <c r="H153" s="6">
        <f>B153-D153</f>
        <v>9444.2</v>
      </c>
      <c r="I153" s="6">
        <f aca="true" t="shared" si="23" ref="I153:I162">C153-D153</f>
        <v>12303.399999999998</v>
      </c>
      <c r="K153" s="46"/>
      <c r="L153" s="46"/>
    </row>
    <row r="154" spans="1:12" ht="18.75">
      <c r="A154" s="23" t="s">
        <v>22</v>
      </c>
      <c r="B154" s="88">
        <f>10210.3+100+280+2027.5-195</f>
        <v>12422.8</v>
      </c>
      <c r="C154" s="67">
        <f>16860.5-195+353.2</f>
        <v>17018.7</v>
      </c>
      <c r="D154" s="67">
        <f>132.1+649.5+498.6+2.9+146.5+119.3+11.1+935+701.6+2.9+12.3-0.1+18.6+43.3+39.7+94+282.1+33.2+9</f>
        <v>3731.6</v>
      </c>
      <c r="E154" s="6"/>
      <c r="F154" s="6">
        <f t="shared" si="21"/>
        <v>30.038316643590818</v>
      </c>
      <c r="G154" s="6">
        <f t="shared" si="22"/>
        <v>21.926469119262926</v>
      </c>
      <c r="H154" s="6">
        <f aca="true" t="shared" si="24" ref="H154:H161">B154-D154</f>
        <v>8691.199999999999</v>
      </c>
      <c r="I154" s="6">
        <f t="shared" si="23"/>
        <v>13287.1</v>
      </c>
      <c r="K154" s="46"/>
      <c r="L154" s="46"/>
    </row>
    <row r="155" spans="1:12" ht="18.75">
      <c r="A155" s="23" t="s">
        <v>60</v>
      </c>
      <c r="B155" s="88">
        <f>103951-280+40608.6+6317.7</f>
        <v>150597.30000000002</v>
      </c>
      <c r="C155" s="67">
        <f>212456.2</f>
        <v>212456.2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</f>
        <v>33079.60000000001</v>
      </c>
      <c r="E155" s="6"/>
      <c r="F155" s="6">
        <f t="shared" si="21"/>
        <v>21.96559964886489</v>
      </c>
      <c r="G155" s="6">
        <f t="shared" si="22"/>
        <v>15.57007985645983</v>
      </c>
      <c r="H155" s="6">
        <f t="shared" si="24"/>
        <v>117517.70000000001</v>
      </c>
      <c r="I155" s="6">
        <f t="shared" si="23"/>
        <v>179376.6</v>
      </c>
      <c r="K155" s="46"/>
      <c r="L155" s="46"/>
    </row>
    <row r="156" spans="1:12" ht="37.5">
      <c r="A156" s="23" t="s">
        <v>69</v>
      </c>
      <c r="B156" s="88">
        <v>309.4</v>
      </c>
      <c r="C156" s="67">
        <v>509.4</v>
      </c>
      <c r="D156" s="67">
        <f>309.4</f>
        <v>309.4</v>
      </c>
      <c r="E156" s="6"/>
      <c r="F156" s="6">
        <f t="shared" si="21"/>
        <v>100</v>
      </c>
      <c r="G156" s="6">
        <f t="shared" si="22"/>
        <v>60.73812328229289</v>
      </c>
      <c r="H156" s="6">
        <f t="shared" si="24"/>
        <v>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12600.4</v>
      </c>
      <c r="C157" s="67">
        <f>54+13623.4</f>
        <v>13677.4</v>
      </c>
      <c r="D157" s="67">
        <f>5.2+5.1+225.1+114.9+40.2+5.2+4.6+89.9+13.6+4.1+10.7+98.5+1634+39+1.7-40.2+1.3</f>
        <v>2252.9000000000005</v>
      </c>
      <c r="E157" s="19"/>
      <c r="F157" s="6">
        <f t="shared" si="21"/>
        <v>17.879591124091306</v>
      </c>
      <c r="G157" s="6">
        <f t="shared" si="22"/>
        <v>16.471697837308263</v>
      </c>
      <c r="H157" s="6">
        <f t="shared" si="24"/>
        <v>10347.5</v>
      </c>
      <c r="I157" s="6">
        <f t="shared" si="23"/>
        <v>11424.5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841.5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58.76411170528818</v>
      </c>
      <c r="G159" s="6">
        <f t="shared" si="22"/>
        <v>36.079089449875966</v>
      </c>
      <c r="H159" s="6">
        <f t="shared" si="24"/>
        <v>347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98.8+11.3+146.1+110.9-0.1+10.1+85.3+20.5+418+104.6+257.6+46.9+315.7+1.5+1.4+47.1+128.3+440+24.2+62.6+0.1+90.4+1.3+111.4+230.8+4.4+180</f>
        <v>2949.2000000000003</v>
      </c>
      <c r="E161" s="24"/>
      <c r="F161" s="6">
        <f>D161/B161*100</f>
        <v>79.30515219963429</v>
      </c>
      <c r="G161" s="6">
        <f t="shared" si="22"/>
        <v>79.30515219963429</v>
      </c>
      <c r="H161" s="6">
        <f t="shared" si="24"/>
        <v>769.5999999999999</v>
      </c>
      <c r="I161" s="6">
        <f t="shared" si="23"/>
        <v>769.5999999999999</v>
      </c>
    </row>
    <row r="162" spans="1:9" ht="19.5" thickBot="1">
      <c r="A162" s="14" t="s">
        <v>20</v>
      </c>
      <c r="B162" s="90">
        <f>B145+B153+B157+B158+B154+B161+B160+B155+B159+B156</f>
        <v>831787.9</v>
      </c>
      <c r="C162" s="90">
        <f>C145+C153+C157+C158+C154+C161+C160+C155+C159+C156</f>
        <v>1235753.9000000001</v>
      </c>
      <c r="D162" s="90">
        <f>D145+D153+D157+D158+D154+D161+D160+D155+D159+D156</f>
        <v>650633.0999999999</v>
      </c>
      <c r="E162" s="25"/>
      <c r="F162" s="3">
        <f>D162/B162*100</f>
        <v>78.22103447285058</v>
      </c>
      <c r="G162" s="3">
        <f t="shared" si="22"/>
        <v>52.65070172952719</v>
      </c>
      <c r="H162" s="3">
        <f>B162-D162</f>
        <v>181154.80000000016</v>
      </c>
      <c r="I162" s="3">
        <f t="shared" si="23"/>
        <v>585120.8000000003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600606.8999999999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600606.8999999999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2015-08-03T09:10:01Z</cp:lastPrinted>
  <dcterms:created xsi:type="dcterms:W3CDTF">2000-06-20T04:48:00Z</dcterms:created>
  <dcterms:modified xsi:type="dcterms:W3CDTF">2015-08-28T11:06:29Z</dcterms:modified>
  <cp:category/>
  <cp:version/>
  <cp:contentType/>
  <cp:contentStatus/>
</cp:coreProperties>
</file>